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228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C20" i="1"/>
  <c r="N20" i="1"/>
  <c r="L20" i="1"/>
  <c r="J20" i="1"/>
  <c r="I20" i="1"/>
  <c r="N10" i="1" l="1"/>
  <c r="M10" i="1"/>
  <c r="L10" i="1"/>
  <c r="N8" i="1"/>
  <c r="M8" i="1"/>
  <c r="L8" i="1"/>
  <c r="G10" i="1" l="1"/>
  <c r="G14" i="1" s="1"/>
  <c r="L16" i="1" s="1"/>
  <c r="G8" i="1"/>
  <c r="H8" i="1"/>
  <c r="J10" i="1"/>
  <c r="I10" i="1"/>
  <c r="H10" i="1"/>
  <c r="J8" i="1"/>
  <c r="I8" i="1"/>
  <c r="E10" i="1"/>
  <c r="D10" i="1"/>
  <c r="C10" i="1"/>
  <c r="B10" i="1" l="1"/>
  <c r="B14" i="1" s="1"/>
  <c r="E16" i="1" s="1"/>
  <c r="N16" i="1"/>
  <c r="N18" i="1" s="1"/>
  <c r="M16" i="1"/>
  <c r="M18" i="1" s="1"/>
  <c r="L18" i="1"/>
  <c r="C16" i="1"/>
  <c r="D16" i="1"/>
  <c r="B28" i="1"/>
  <c r="B30" i="1"/>
  <c r="B34" i="1" s="1"/>
  <c r="E8" i="1"/>
  <c r="E18" i="1" s="1"/>
  <c r="D8" i="1"/>
  <c r="D18" i="1" s="1"/>
  <c r="C8" i="1"/>
  <c r="B8" i="1" s="1"/>
  <c r="H16" i="1" l="1"/>
  <c r="H18" i="1" s="1"/>
  <c r="J16" i="1"/>
  <c r="J18" i="1" s="1"/>
  <c r="I16" i="1"/>
  <c r="I18" i="1" s="1"/>
  <c r="G18" i="1"/>
  <c r="C18" i="1"/>
  <c r="B18" i="1" s="1"/>
  <c r="B38" i="1" l="1"/>
</calcChain>
</file>

<file path=xl/sharedStrings.xml><?xml version="1.0" encoding="utf-8"?>
<sst xmlns="http://schemas.openxmlformats.org/spreadsheetml/2006/main" count="39" uniqueCount="31">
  <si>
    <t>HPC Pre-filed Testimony</t>
  </si>
  <si>
    <t>Payer Operating Margins</t>
  </si>
  <si>
    <t>NPSR (CHIA cost Report Tab 5)</t>
  </si>
  <si>
    <t>Government</t>
  </si>
  <si>
    <t>Commercial</t>
  </si>
  <si>
    <t>Other</t>
  </si>
  <si>
    <t>GPSR (CHIA cost Report Tab 5)</t>
  </si>
  <si>
    <t>Patient Care Costs (CHIA cost report Tab 9)</t>
  </si>
  <si>
    <t>Total</t>
  </si>
  <si>
    <t>CCR</t>
  </si>
  <si>
    <t>Margin</t>
  </si>
  <si>
    <t>Patient Care Allocated Costs</t>
  </si>
  <si>
    <t>Payers:</t>
  </si>
  <si>
    <t xml:space="preserve">            Government:</t>
  </si>
  <si>
    <t>Medicare Managed</t>
  </si>
  <si>
    <t>Medicare Non-Managed</t>
  </si>
  <si>
    <t>Medicaid Managed</t>
  </si>
  <si>
    <t>Medicaid Non-Managed</t>
  </si>
  <si>
    <t>Commercial:</t>
  </si>
  <si>
    <t>Blue Cross</t>
  </si>
  <si>
    <t>Harvard Pilgrim</t>
  </si>
  <si>
    <t>Tufts</t>
  </si>
  <si>
    <t>United Healthcare</t>
  </si>
  <si>
    <t>Cigna</t>
  </si>
  <si>
    <t>Aetna</t>
  </si>
  <si>
    <t>Other Government/Tricare</t>
  </si>
  <si>
    <t>Other Commercial</t>
  </si>
  <si>
    <t>Other:</t>
  </si>
  <si>
    <t>Worker's Comp</t>
  </si>
  <si>
    <t>Self-Pay</t>
  </si>
  <si>
    <t>Percent of 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</si>
</sst>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0" fontId="0" fillId="0" borderId="0" xfId="2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9" fontId="0" fillId="0" borderId="0" xfId="2" applyFont="1"/>
    <xf numFmtId="0" fontId="3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  <Relationship Id="rId5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abSelected="1" workbookViewId="0">
      <selection activeCell="H25" sqref="H25"/>
    </sheetView>
  </sheetViews>
  <sheetFormatPr defaultRowHeight="14.4" x14ac:dyDescent="0.3"/>
  <cols>
    <col min="1" max="1" width="40.109375" customWidth="1"/>
    <col min="2" max="2" width="12.5546875" hidden="1" customWidth="1"/>
    <col min="3" max="4" width="17.88671875" customWidth="1"/>
    <col min="5" max="5" width="12.33203125" customWidth="1"/>
    <col min="6" max="6" width="4.44140625" customWidth="1"/>
    <col min="7" max="7" width="12.5546875" hidden="1" customWidth="1"/>
    <col min="8" max="9" width="12.5546875" bestFit="1" customWidth="1"/>
    <col min="10" max="10" width="11.5546875" bestFit="1" customWidth="1"/>
    <col min="11" max="11" width="4.44140625" customWidth="1"/>
    <col min="12" max="13" width="12.5546875" bestFit="1" customWidth="1"/>
    <col min="14" max="14" width="12.33203125" customWidth="1"/>
  </cols>
  <sheetData>
    <row r="1" spans="1:14" ht="21" x14ac:dyDescent="0.35">
      <c r="A1" s="1" t="s">
        <v>0</v>
      </c>
      <c r="B1" s="1"/>
      <c r="G1" s="1"/>
    </row>
    <row r="2" spans="1:14" ht="21" x14ac:dyDescent="0.35">
      <c r="A2" s="1" t="s">
        <v>1</v>
      </c>
      <c r="B2" s="1"/>
      <c r="G2" s="1"/>
    </row>
    <row r="4" spans="1:14" ht="15" x14ac:dyDescent="0.25">
      <c r="C4" s="9">
        <v>2016</v>
      </c>
      <c r="D4" s="9"/>
      <c r="E4" s="9"/>
      <c r="H4" s="9">
        <v>2015</v>
      </c>
      <c r="I4" s="9"/>
      <c r="J4" s="9"/>
      <c r="L4" s="9">
        <v>2014</v>
      </c>
      <c r="M4" s="9"/>
      <c r="N4" s="9"/>
    </row>
    <row r="6" spans="1:14" ht="15" x14ac:dyDescent="0.25">
      <c r="B6" s="2" t="s">
        <v>8</v>
      </c>
      <c r="C6" s="2" t="s">
        <v>3</v>
      </c>
      <c r="D6" s="2" t="s">
        <v>4</v>
      </c>
      <c r="E6" s="2" t="s">
        <v>5</v>
      </c>
      <c r="G6" s="2" t="s">
        <v>8</v>
      </c>
      <c r="H6" s="2" t="s">
        <v>3</v>
      </c>
      <c r="I6" s="2" t="s">
        <v>4</v>
      </c>
      <c r="J6" s="2" t="s">
        <v>5</v>
      </c>
      <c r="L6" s="2" t="s">
        <v>3</v>
      </c>
      <c r="M6" s="2" t="s">
        <v>4</v>
      </c>
      <c r="N6" s="2" t="s">
        <v>5</v>
      </c>
    </row>
    <row r="8" spans="1:14" ht="15" x14ac:dyDescent="0.25">
      <c r="A8" t="s">
        <v>2</v>
      </c>
      <c r="B8" s="4">
        <f>SUM(C8:E8)</f>
        <v>212245373</v>
      </c>
      <c r="C8" s="3">
        <f>18137272+46916271+4097783+4946360+2569802</f>
        <v>76667488</v>
      </c>
      <c r="D8" s="3">
        <f>88996947+39118968+5877059</f>
        <v>133992974</v>
      </c>
      <c r="E8" s="3">
        <f>1098562+486349</f>
        <v>1584911</v>
      </c>
      <c r="F8" s="3"/>
      <c r="G8" s="4">
        <f>SUM(L8:N8)</f>
        <v>188582588</v>
      </c>
      <c r="H8" s="3">
        <f>13911473+48449172+2659452+4535877+2426845</f>
        <v>71982819</v>
      </c>
      <c r="I8" s="3">
        <f>81806077+33356671+4948828</f>
        <v>120111576</v>
      </c>
      <c r="J8" s="3">
        <f>1013591+681279</f>
        <v>1694870</v>
      </c>
      <c r="K8" s="3"/>
      <c r="L8" s="3">
        <f>12421158+45665631+2604858+4381988+2715301</f>
        <v>67788936</v>
      </c>
      <c r="M8" s="3">
        <f>81685271+33779503+3276207</f>
        <v>118740981</v>
      </c>
      <c r="N8" s="3">
        <f>1122155+930516</f>
        <v>2052671</v>
      </c>
    </row>
    <row r="10" spans="1:14" ht="15" x14ac:dyDescent="0.25">
      <c r="A10" t="s">
        <v>6</v>
      </c>
      <c r="B10" s="4">
        <f>SUM(C10:E10)</f>
        <v>544334963</v>
      </c>
      <c r="C10" s="3">
        <f>55214992+145861381+11975984+14050400+8803074</f>
        <v>235905831</v>
      </c>
      <c r="D10" s="3">
        <f>196313182+77460728+20703292</f>
        <v>294477202</v>
      </c>
      <c r="E10" s="3">
        <f>3063380+9776063+1112487</f>
        <v>13951930</v>
      </c>
      <c r="F10" s="3"/>
      <c r="G10" s="4">
        <f>SUM(L10:N10)</f>
        <v>470314398</v>
      </c>
      <c r="H10" s="3">
        <f>49423181+138882572+8923628+14506860+8064997</f>
        <v>219801238</v>
      </c>
      <c r="I10" s="3">
        <f>187076953+69160229+15437910</f>
        <v>271675092</v>
      </c>
      <c r="J10" s="3">
        <f>2986694+8940604+864811</f>
        <v>12792109</v>
      </c>
      <c r="K10" s="3"/>
      <c r="L10" s="3">
        <f>42603862+126782262+8315846+13610951+8693577</f>
        <v>200006498</v>
      </c>
      <c r="M10" s="3">
        <f>180964165+67323232+9944810</f>
        <v>258232207</v>
      </c>
      <c r="N10" s="3">
        <f>3168075+7625260+1282358</f>
        <v>12075693</v>
      </c>
    </row>
    <row r="12" spans="1:14" ht="15" x14ac:dyDescent="0.25">
      <c r="A12" t="s">
        <v>7</v>
      </c>
      <c r="B12" s="4">
        <v>213606537</v>
      </c>
      <c r="G12" s="4">
        <v>189031857</v>
      </c>
    </row>
    <row r="14" spans="1:14" ht="15" x14ac:dyDescent="0.25">
      <c r="A14" t="s">
        <v>9</v>
      </c>
      <c r="B14" s="5">
        <f>+B12/B10</f>
        <v>0.39241744793086164</v>
      </c>
      <c r="G14" s="5">
        <f>+G12/G10</f>
        <v>0.40192657890945538</v>
      </c>
    </row>
    <row r="16" spans="1:14" ht="15" x14ac:dyDescent="0.25">
      <c r="A16" t="s">
        <v>11</v>
      </c>
      <c r="C16" s="3">
        <f>+C10*B14</f>
        <v>92573564.153029144</v>
      </c>
      <c r="D16" s="3">
        <f>+D10*B14</f>
        <v>115557992.08266082</v>
      </c>
      <c r="E16" s="3">
        <f>+E10*B14</f>
        <v>5474980.7643100265</v>
      </c>
      <c r="H16" s="3">
        <f>+H10*B34</f>
        <v>87163507.104430735</v>
      </c>
      <c r="I16" s="3">
        <f>+I10*B34</f>
        <v>107734396.89015253</v>
      </c>
      <c r="J16" s="3">
        <f>+J10*B34</f>
        <v>5072788.00541675</v>
      </c>
      <c r="L16" s="3">
        <f>+L10*G14</f>
        <v>80387927.500800833</v>
      </c>
      <c r="M16" s="3">
        <f>+M10*G14</f>
        <v>103790387.52374831</v>
      </c>
      <c r="N16" s="3">
        <f>+N10*G14</f>
        <v>4853541.9754508575</v>
      </c>
    </row>
    <row r="18" spans="1:14" ht="15" x14ac:dyDescent="0.25">
      <c r="A18" t="s">
        <v>10</v>
      </c>
      <c r="B18" s="4">
        <f>SUM(C18:E18)</f>
        <v>-1361163.9999999944</v>
      </c>
      <c r="C18" s="4">
        <f>+C8-C16</f>
        <v>-15906076.153029144</v>
      </c>
      <c r="D18" s="4">
        <f t="shared" ref="D18:E18" si="0">+D8-D16</f>
        <v>18434981.917339176</v>
      </c>
      <c r="E18" s="4">
        <f t="shared" si="0"/>
        <v>-3890069.7643100265</v>
      </c>
      <c r="G18" s="4">
        <f>SUM(L18:N18)</f>
        <v>-449268.99999999907</v>
      </c>
      <c r="H18" s="4">
        <f>+H8-H16</f>
        <v>-15180688.104430735</v>
      </c>
      <c r="I18" s="4">
        <f t="shared" ref="I18:J18" si="1">+I8-I16</f>
        <v>12377179.109847471</v>
      </c>
      <c r="J18" s="4">
        <f t="shared" si="1"/>
        <v>-3377918.00541675</v>
      </c>
      <c r="L18" s="4">
        <f>+L8-L16</f>
        <v>-12598991.500800833</v>
      </c>
      <c r="M18" s="4">
        <f t="shared" ref="M18:N18" si="2">+M8-M16</f>
        <v>14950593.476251692</v>
      </c>
      <c r="N18" s="4">
        <f t="shared" si="2"/>
        <v>-2800870.9754508575</v>
      </c>
    </row>
    <row r="20" spans="1:14" ht="15" x14ac:dyDescent="0.25">
      <c r="A20" t="s">
        <v>30</v>
      </c>
      <c r="C20" s="8">
        <f>+C10/554334963</f>
        <v>0.42556549152754775</v>
      </c>
      <c r="D20" s="8">
        <v>0.54</v>
      </c>
      <c r="E20" s="8">
        <f t="shared" ref="E20" si="3">+E10/554334963</f>
        <v>2.5168771467153517E-2</v>
      </c>
      <c r="H20" s="8">
        <v>0.43</v>
      </c>
      <c r="I20" s="8">
        <f t="shared" ref="I20:J20" si="4">+I10/504268439</f>
        <v>0.53875093301248622</v>
      </c>
      <c r="J20" s="8">
        <f t="shared" si="4"/>
        <v>2.5367657403599673E-2</v>
      </c>
      <c r="L20" s="8">
        <f>+L10/470314398</f>
        <v>0.42526126959013488</v>
      </c>
      <c r="M20" s="8">
        <v>0.54</v>
      </c>
      <c r="N20" s="8">
        <f t="shared" ref="N20" si="5">+N10/470314398</f>
        <v>2.5675788475435956E-2</v>
      </c>
    </row>
    <row r="24" spans="1:14" ht="15" x14ac:dyDescent="0.25">
      <c r="A24" t="s">
        <v>12</v>
      </c>
    </row>
    <row r="25" spans="1:14" ht="15" x14ac:dyDescent="0.25">
      <c r="A25" s="7" t="s">
        <v>13</v>
      </c>
      <c r="C25" t="s">
        <v>18</v>
      </c>
      <c r="D25" t="s">
        <v>27</v>
      </c>
    </row>
    <row r="26" spans="1:14" ht="15" x14ac:dyDescent="0.25">
      <c r="A26" s="6" t="s">
        <v>14</v>
      </c>
      <c r="B26" s="2" t="s">
        <v>8</v>
      </c>
      <c r="C26" s="6" t="s">
        <v>19</v>
      </c>
      <c r="D26" s="6" t="s">
        <v>28</v>
      </c>
      <c r="G26" s="2"/>
    </row>
    <row r="27" spans="1:14" ht="15" x14ac:dyDescent="0.25">
      <c r="A27" s="6" t="s">
        <v>15</v>
      </c>
      <c r="C27" s="6" t="s">
        <v>20</v>
      </c>
      <c r="D27" s="6" t="s">
        <v>29</v>
      </c>
    </row>
    <row r="28" spans="1:14" ht="15" x14ac:dyDescent="0.25">
      <c r="A28" s="6" t="s">
        <v>16</v>
      </c>
      <c r="B28" s="4">
        <f>SUM(H8:J8)</f>
        <v>193789265</v>
      </c>
      <c r="C28" s="6" t="s">
        <v>21</v>
      </c>
      <c r="D28" s="6"/>
      <c r="G28" s="4"/>
    </row>
    <row r="29" spans="1:14" ht="15" x14ac:dyDescent="0.25">
      <c r="A29" s="6" t="s">
        <v>17</v>
      </c>
      <c r="C29" s="6" t="s">
        <v>22</v>
      </c>
      <c r="D29" s="6"/>
    </row>
    <row r="30" spans="1:14" ht="15" x14ac:dyDescent="0.25">
      <c r="A30" s="6" t="s">
        <v>25</v>
      </c>
      <c r="B30" s="4">
        <f>SUM(H10:J10)</f>
        <v>504268439</v>
      </c>
      <c r="C30" s="6" t="s">
        <v>23</v>
      </c>
      <c r="D30" s="6"/>
      <c r="G30" s="4"/>
    </row>
    <row r="31" spans="1:14" ht="15" x14ac:dyDescent="0.25">
      <c r="C31" s="6" t="s">
        <v>24</v>
      </c>
    </row>
    <row r="32" spans="1:14" ht="15" x14ac:dyDescent="0.25">
      <c r="B32" s="4">
        <v>199970692</v>
      </c>
      <c r="C32" s="6" t="s">
        <v>26</v>
      </c>
      <c r="G32" s="4"/>
    </row>
    <row r="34" spans="2:7" ht="15" x14ac:dyDescent="0.25">
      <c r="B34" s="5">
        <f>+B32/B30</f>
        <v>0.39655603352166169</v>
      </c>
      <c r="G34" s="5"/>
    </row>
    <row r="38" spans="2:7" x14ac:dyDescent="0.3">
      <c r="B38" s="4">
        <f>SUM(H18:J18)</f>
        <v>-6181427.000000014</v>
      </c>
      <c r="G38" s="4"/>
    </row>
  </sheetData>
  <mergeCells count="3">
    <mergeCell ref="C4:E4"/>
    <mergeCell ref="L4:N4"/>
    <mergeCell ref="H4:J4"/>
  </mergeCells>
  <pageMargins left="0.7" right="0.7" top="0.75" bottom="0.75" header="0.3" footer="0.3"/>
  <pageSetup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Emerson Hospital</Company>
  <LinksUpToDate>false</LinksUpToDate>
  <SharedDoc>false</SharedDoc>
  <HyperlinksChanged>false</HyperlinksChanged>
  <AppVersion>14.0300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2017-09-08T14:50:26Z</dcterms:created>
  <dc:creator>btremblay</dc:creator>
  <lastModifiedBy>ANF</lastModifiedBy>
  <lastPrinted>2017-09-11T13:57:19Z</lastPrinted>
  <dcterms:modified xsi:type="dcterms:W3CDTF">2017-09-18T12:32:36Z</dcterms:modified>
</coreProperties>
</file>